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8660" windowHeight="11460" activeTab="0"/>
  </bookViews>
  <sheets>
    <sheet name="Applikationsanleitung" sheetId="1" r:id="rId1"/>
  </sheets>
  <definedNames>
    <definedName name="_xlnm.Print_Area" localSheetId="0">'Applikationsanleitung'!$A$1:$F$62</definedName>
  </definedNames>
  <calcPr fullCalcOnLoad="1"/>
</workbook>
</file>

<file path=xl/sharedStrings.xml><?xml version="1.0" encoding="utf-8"?>
<sst xmlns="http://schemas.openxmlformats.org/spreadsheetml/2006/main" count="158" uniqueCount="155">
  <si>
    <t>Vorgegebene Werte:</t>
  </si>
  <si>
    <t>Berechnete Werte:</t>
  </si>
  <si>
    <t>Konstanten:</t>
  </si>
  <si>
    <t>R20=</t>
  </si>
  <si>
    <t>b=</t>
  </si>
  <si>
    <t>d=</t>
  </si>
  <si>
    <t>l=</t>
  </si>
  <si>
    <t xml:space="preserve">  Länge /mm</t>
  </si>
  <si>
    <t>D=</t>
  </si>
  <si>
    <t>Ns=</t>
  </si>
  <si>
    <t>Np=</t>
  </si>
  <si>
    <t xml:space="preserve">  Anzahl der Reihenschaltung</t>
  </si>
  <si>
    <t xml:space="preserve">  Anzahl der Parallelschaltung </t>
  </si>
  <si>
    <t>U2=</t>
  </si>
  <si>
    <t>Tk1=</t>
  </si>
  <si>
    <t>Tk2=</t>
  </si>
  <si>
    <t>Km=</t>
  </si>
  <si>
    <t>Ku=</t>
  </si>
  <si>
    <t xml:space="preserve">  Materialkonstante /mm/s</t>
  </si>
  <si>
    <t xml:space="preserve">  U2-Ur-Ffaktor</t>
  </si>
  <si>
    <t>Aw=</t>
  </si>
  <si>
    <t>Wirksame-Oberfläche /mm²</t>
  </si>
  <si>
    <t>V=</t>
  </si>
  <si>
    <t xml:space="preserve">  Breite /mm (bei Draht b=0)</t>
  </si>
  <si>
    <t xml:space="preserve">  Dicke /mm (bei Draht d=0)</t>
  </si>
  <si>
    <t xml:space="preserve">  Durchmesser /mm (bei Band=0)</t>
  </si>
  <si>
    <t xml:space="preserve">  Spezifischer-Widerstand</t>
  </si>
  <si>
    <t>Rsp=</t>
  </si>
  <si>
    <t>R20einz.=</t>
  </si>
  <si>
    <t>R20 gesamt /mOhm</t>
  </si>
  <si>
    <t>Pmax=</t>
  </si>
  <si>
    <t>taufh.=</t>
  </si>
  <si>
    <t>U2 /V</t>
  </si>
  <si>
    <t>Irmax=I2max /A</t>
  </si>
  <si>
    <t>Irmax=</t>
  </si>
  <si>
    <t>U1 /V</t>
  </si>
  <si>
    <t>U1=</t>
  </si>
  <si>
    <t>I1max=</t>
  </si>
  <si>
    <t>Volumen /mm³</t>
  </si>
  <si>
    <t>I1max=Irmax*U2/U1</t>
  </si>
  <si>
    <t>Irmax=(Pmax/R20)^0,5</t>
  </si>
  <si>
    <t>R20=R20einz.*Ns/Np</t>
  </si>
  <si>
    <t>Draht:  V=pi*D²*Np*Ns/4</t>
  </si>
  <si>
    <t>R20=Rsp*l/A</t>
  </si>
  <si>
    <t>Band: A=b*d, Draht: A=pi*D²/4</t>
  </si>
  <si>
    <t>Alloy20 Tk1=10,8    Norex Tk1=42,0</t>
  </si>
  <si>
    <t>Alloy20 Tk2=0         Norex Tk2=-3.99</t>
  </si>
  <si>
    <t>Alloy20=0,052          Norex=0.032</t>
  </si>
  <si>
    <t>Alloy20: Band =0,879, Draht =0,879</t>
  </si>
  <si>
    <t>Norex:     Band =0,475, Draht =0,491</t>
  </si>
  <si>
    <t xml:space="preserve">  /mOhm</t>
  </si>
  <si>
    <t xml:space="preserve">     /Ohm*mm²/m</t>
  </si>
  <si>
    <t>R20 des einz. Heizbandes</t>
  </si>
  <si>
    <t xml:space="preserve">     /*10^-4 1/°K</t>
  </si>
  <si>
    <t xml:space="preserve">  Temperatur-Koeffizient 1 </t>
  </si>
  <si>
    <t xml:space="preserve">  Temp.-Koeffizient 2 </t>
  </si>
  <si>
    <t xml:space="preserve">     /*10^-6 1/°K²</t>
  </si>
  <si>
    <t>Datum:</t>
  </si>
  <si>
    <t>Bezeichnung:</t>
  </si>
  <si>
    <t>Ku=U2/Ur</t>
  </si>
  <si>
    <t>Gp=</t>
  </si>
  <si>
    <t>taufh.a=</t>
  </si>
  <si>
    <t>Auslegung nach:</t>
  </si>
  <si>
    <t xml:space="preserve">  Ausgangsspannung [V] vorgegeb. Od. errechnet</t>
  </si>
  <si>
    <t xml:space="preserve">  Netzspannung [V]</t>
  </si>
  <si>
    <t>nur die rote Zahlen eingeben</t>
  </si>
  <si>
    <t>errechneter ED-Faktor [%]</t>
  </si>
  <si>
    <t>Taufh.2 =</t>
  </si>
  <si>
    <t>Taufh.a=</t>
  </si>
  <si>
    <t>ED-err. =</t>
  </si>
  <si>
    <t>ED-gew. =</t>
  </si>
  <si>
    <t>wenn U2 zu klein ist, sind die weiteren Werte ohne Nutzen</t>
  </si>
  <si>
    <t>(wenn Ausgangspg. vorgegeben taufh.= 0)</t>
  </si>
  <si>
    <t>(wenn Aufheizzeit vorgegeben U2 = 0)</t>
  </si>
  <si>
    <t xml:space="preserve">  Heizbandgeometrie:</t>
  </si>
  <si>
    <t xml:space="preserve">für Kunde / Interessent: </t>
  </si>
  <si>
    <t>erstellt von Emeko Ing. Büro, D79114 freiburg, Tel. (0049) (0)761 441803</t>
  </si>
  <si>
    <t>nur Werte 10%, 20%, 40%, 60% und 100% möglich</t>
  </si>
  <si>
    <t>Draht:  Aw=pi*D*Lä*Np*Ns</t>
  </si>
  <si>
    <t>Band:   V=b*d*Lä*Np*Ns</t>
  </si>
  <si>
    <t>Band:   Aw=2*(b+d)*Lä*Np*Ns</t>
  </si>
  <si>
    <t xml:space="preserve">Pheiss, </t>
  </si>
  <si>
    <t>Pheiss=</t>
  </si>
  <si>
    <t>Ptrafo-min.=</t>
  </si>
  <si>
    <t>Paufh.für taufh.</t>
  </si>
  <si>
    <t>Paufheiz für die Einhaltung der Aufheizzeit</t>
  </si>
  <si>
    <t>Prüfung ob Usek gross genug ist:</t>
  </si>
  <si>
    <t>tz =</t>
  </si>
  <si>
    <t>Prüfung ob ta + tschw + tk &gt; tz</t>
  </si>
  <si>
    <t>Ptrafo nach Ed</t>
  </si>
  <si>
    <t>Zeitenüberprüfung</t>
  </si>
  <si>
    <t>taufh.sollte &gt;0,10s sein</t>
  </si>
  <si>
    <t>oder wenn Taufh.gegeben: Pmax=V*spez.Gew.*Wärmekap.*dt/ta</t>
  </si>
  <si>
    <t>Pmax bei Rkalt = (U2/Ku)²/R20</t>
  </si>
  <si>
    <t xml:space="preserve">in die farbigen </t>
  </si>
  <si>
    <t xml:space="preserve"> Felder </t>
  </si>
  <si>
    <t xml:space="preserve">die Werte </t>
  </si>
  <si>
    <t xml:space="preserve"> einsetzen</t>
  </si>
  <si>
    <t>Ptrafo gewählt</t>
  </si>
  <si>
    <t>Heizleistung: Gp&gt;4 ?</t>
  </si>
  <si>
    <t>Prüfung ob Aufheizzeit zu klein ist:</t>
  </si>
  <si>
    <t>als Wert vorgegeben s.o. oder aus Vol. und U2 berechnet</t>
  </si>
  <si>
    <t>Formeln überprüft mit nebenstehendenSchweißbändern, mit Luft Kühlung und 0,75kVA, 24V Trafo:</t>
  </si>
  <si>
    <t>Pmittel</t>
  </si>
  <si>
    <t>als Wert vorgegeben s.o. oder aus Taufh errechnet. U2=Pmittel/R20</t>
  </si>
  <si>
    <t>1*4*0,2*175; 1*4*0,2*450;  2*10*0,15*380;  2*10*0,15*780</t>
  </si>
  <si>
    <t>Usek. Vorge-geben</t>
  </si>
  <si>
    <t>Taufh. Vorge-geben</t>
  </si>
  <si>
    <t>TR_ber_200grd.xls</t>
  </si>
  <si>
    <t>für Temp. Bereich 20 auf 200 GrdC</t>
  </si>
  <si>
    <t xml:space="preserve">  Aufheizzeit f. 20-200grd [s] vorgegeben oder errechnet</t>
  </si>
  <si>
    <t>R200 /mOhm</t>
  </si>
  <si>
    <t>R200=R20*(1+(T-20°K)*Tk1+(T-20°K)²*Tk2)</t>
  </si>
  <si>
    <t>P200=Wärmelast 200 grd * Aw</t>
  </si>
  <si>
    <t>P200, in strömender Luft</t>
  </si>
  <si>
    <t>Wärmelast Band b. 200 Grd =0,09W/mm², Draht=0,06W/mm²</t>
  </si>
  <si>
    <t>Aufheizzeit /s auf 200 Grd</t>
  </si>
  <si>
    <t>Ur200 /V</t>
  </si>
  <si>
    <t>Ur200=Ir200*R200</t>
  </si>
  <si>
    <t>Ir200 /A</t>
  </si>
  <si>
    <t>Ir200=(P200/R200)^0,5</t>
  </si>
  <si>
    <t>für Aufheizen von 20 auf 200 Grd C, entsprechend Aufheizzeit und Tastgrad</t>
  </si>
  <si>
    <t>Grenzwert Pmax, Gp , Gp=Pmax / (4*P200)</t>
  </si>
  <si>
    <t>R200=</t>
  </si>
  <si>
    <t>P200=</t>
  </si>
  <si>
    <t>Ur200=</t>
  </si>
  <si>
    <t>Ir200=</t>
  </si>
  <si>
    <t>Trafoleistung, Ptrafo [VA] für Delta T 180grd bei Tastgrad  ta /tz</t>
  </si>
  <si>
    <t xml:space="preserve">  Zykluszeit [ sec.] gewünschte, kann kleiner als Zeit zwischen zwei Zyklen sein</t>
  </si>
  <si>
    <t>Schweißzeit in (sec.) ohne Aufheizzeit und Kühlzeit</t>
  </si>
  <si>
    <t>Tschw. =</t>
  </si>
  <si>
    <t>Zyklen pro Minute</t>
  </si>
  <si>
    <t>Ergebnis der Kühlzeitberechnung</t>
  </si>
  <si>
    <t>Tkühl=</t>
  </si>
  <si>
    <t>Taktzahl=</t>
  </si>
  <si>
    <t>Zwischenergebnis Aufheizzeit  [sec.] wenn vorgegeben oder gemessen, abhäng. v. Usec.</t>
  </si>
  <si>
    <t>Primärstrom Prüfung ob Booster nötig</t>
  </si>
  <si>
    <t>Schweiß-Trafoberechnung für TPRC</t>
  </si>
  <si>
    <t>Achtung wenn Kühlzeit zu klein oder negativ ist.</t>
  </si>
  <si>
    <t>PVC-Verschweißung</t>
  </si>
  <si>
    <t>(Aufhzt+10%(+Tschw..)) / Spieldauer</t>
  </si>
  <si>
    <t>Flexa srl., Achtung bei U2 = 55V ist Booster nötig für 2 Trafos</t>
  </si>
  <si>
    <t>I1max /A  Primär</t>
  </si>
  <si>
    <t>ohne Berücksichtigung von ED Faktor</t>
  </si>
  <si>
    <t xml:space="preserve">Trafobaugrößenangabe entsprechend 100% ED </t>
  </si>
  <si>
    <t>errechnet aus der größeren Pmittel mal gewähltem ED Faktor</t>
  </si>
  <si>
    <t>Trafogröße gewählt: in VA bei 100% ED</t>
  </si>
  <si>
    <t>sollte kleiner sein als Pmax oder Pheiß oder Paufh.</t>
  </si>
  <si>
    <t>Und sollte größer sein als Ptrafo nach Ed</t>
  </si>
  <si>
    <t xml:space="preserve"> gewählter ED-Faktor [ %] , &gt; als errechneter</t>
  </si>
  <si>
    <t>wenn taufh.vorgegeben dann Werte  in Spalte F eintragen</t>
  </si>
  <si>
    <t xml:space="preserve">wenn Usek vorgegeben, dann Werte in Spalte E eintragen, </t>
  </si>
  <si>
    <t>2 Heizbänder, pro Heizband ein Trafo aber nur ein Regler</t>
  </si>
  <si>
    <t>Applikation</t>
  </si>
  <si>
    <t>Version v. 11.09.09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</si>
</sst>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"/>
  </numFmts>
  <fonts count="20">
    <font>
      <sz val="10"/>
      <name val="Arial"/>
      <family val="0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2" fontId="4" fillId="0" borderId="1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2" fontId="1" fillId="0" borderId="1" xfId="0" applyNumberFormat="1" applyFont="1" applyBorder="1" applyAlignment="1" applyProtection="1">
      <alignment/>
      <protection locked="0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2" fontId="11" fillId="0" borderId="1" xfId="0" applyNumberFormat="1" applyFont="1" applyBorder="1" applyAlignment="1">
      <alignment/>
    </xf>
    <xf numFmtId="0" fontId="4" fillId="0" borderId="0" xfId="0" applyFont="1" applyAlignment="1">
      <alignment horizontal="right" wrapText="1"/>
    </xf>
    <xf numFmtId="0" fontId="1" fillId="0" borderId="2" xfId="0" applyFont="1" applyBorder="1" applyAlignment="1">
      <alignment horizontal="left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wrapText="1"/>
      <protection/>
    </xf>
    <xf numFmtId="0" fontId="11" fillId="0" borderId="0" xfId="0" applyFont="1" applyAlignment="1" applyProtection="1">
      <alignment/>
      <protection/>
    </xf>
    <xf numFmtId="172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 applyProtection="1">
      <alignment horizontal="right"/>
      <protection/>
    </xf>
    <xf numFmtId="0" fontId="7" fillId="0" borderId="3" xfId="0" applyFont="1" applyBorder="1" applyAlignment="1" applyProtection="1">
      <alignment/>
      <protection/>
    </xf>
    <xf numFmtId="1" fontId="1" fillId="0" borderId="0" xfId="0" applyNumberFormat="1" applyFont="1" applyAlignment="1" applyProtection="1">
      <alignment horizontal="right"/>
      <protection/>
    </xf>
    <xf numFmtId="0" fontId="10" fillId="0" borderId="0" xfId="0" applyFont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/>
    </xf>
    <xf numFmtId="0" fontId="7" fillId="2" borderId="6" xfId="0" applyFont="1" applyFill="1" applyBorder="1" applyAlignment="1">
      <alignment horizontal="right" wrapText="1"/>
    </xf>
    <xf numFmtId="0" fontId="7" fillId="2" borderId="7" xfId="0" applyFont="1" applyFill="1" applyBorder="1" applyAlignment="1">
      <alignment wrapText="1"/>
    </xf>
    <xf numFmtId="0" fontId="7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2" fontId="8" fillId="2" borderId="4" xfId="0" applyNumberFormat="1" applyFont="1" applyFill="1" applyBorder="1" applyAlignment="1" applyProtection="1">
      <alignment/>
      <protection locked="0"/>
    </xf>
    <xf numFmtId="2" fontId="8" fillId="2" borderId="10" xfId="0" applyNumberFormat="1" applyFont="1" applyFill="1" applyBorder="1" applyAlignment="1" applyProtection="1">
      <alignment/>
      <protection locked="0"/>
    </xf>
    <xf numFmtId="2" fontId="8" fillId="2" borderId="6" xfId="0" applyNumberFormat="1" applyFont="1" applyFill="1" applyBorder="1" applyAlignment="1" applyProtection="1">
      <alignment/>
      <protection locked="0"/>
    </xf>
    <xf numFmtId="2" fontId="8" fillId="2" borderId="11" xfId="0" applyNumberFormat="1" applyFont="1" applyFill="1" applyBorder="1" applyAlignment="1" applyProtection="1">
      <alignment/>
      <protection locked="0"/>
    </xf>
    <xf numFmtId="2" fontId="8" fillId="2" borderId="8" xfId="0" applyNumberFormat="1" applyFont="1" applyFill="1" applyBorder="1" applyAlignment="1" applyProtection="1">
      <alignment/>
      <protection locked="0"/>
    </xf>
    <xf numFmtId="2" fontId="8" fillId="2" borderId="12" xfId="0" applyNumberFormat="1" applyFont="1" applyFill="1" applyBorder="1" applyAlignment="1" applyProtection="1">
      <alignment/>
      <protection locked="0"/>
    </xf>
    <xf numFmtId="2" fontId="8" fillId="2" borderId="3" xfId="0" applyNumberFormat="1" applyFont="1" applyFill="1" applyBorder="1" applyAlignment="1" applyProtection="1">
      <alignment/>
      <protection locked="0"/>
    </xf>
    <xf numFmtId="2" fontId="8" fillId="2" borderId="13" xfId="0" applyNumberFormat="1" applyFont="1" applyFill="1" applyBorder="1" applyAlignment="1" applyProtection="1">
      <alignment/>
      <protection locked="0"/>
    </xf>
    <xf numFmtId="2" fontId="14" fillId="0" borderId="12" xfId="0" applyNumberFormat="1" applyFont="1" applyBorder="1" applyAlignment="1">
      <alignment/>
    </xf>
    <xf numFmtId="2" fontId="14" fillId="0" borderId="13" xfId="0" applyNumberFormat="1" applyFont="1" applyBorder="1" applyAlignment="1">
      <alignment/>
    </xf>
    <xf numFmtId="2" fontId="9" fillId="0" borderId="0" xfId="0" applyNumberFormat="1" applyFont="1" applyAlignment="1">
      <alignment wrapText="1"/>
    </xf>
    <xf numFmtId="2" fontId="9" fillId="0" borderId="12" xfId="0" applyNumberFormat="1" applyFont="1" applyBorder="1" applyAlignment="1">
      <alignment/>
    </xf>
    <xf numFmtId="2" fontId="9" fillId="0" borderId="13" xfId="0" applyNumberFormat="1" applyFont="1" applyBorder="1" applyAlignment="1">
      <alignment/>
    </xf>
    <xf numFmtId="2" fontId="15" fillId="0" borderId="1" xfId="0" applyNumberFormat="1" applyFont="1" applyBorder="1" applyAlignment="1">
      <alignment/>
    </xf>
    <xf numFmtId="2" fontId="12" fillId="2" borderId="8" xfId="0" applyNumberFormat="1" applyFont="1" applyFill="1" applyBorder="1" applyAlignment="1" applyProtection="1">
      <alignment/>
      <protection locked="0"/>
    </xf>
    <xf numFmtId="2" fontId="16" fillId="0" borderId="1" xfId="0" applyNumberFormat="1" applyFont="1" applyBorder="1" applyAlignment="1">
      <alignment/>
    </xf>
    <xf numFmtId="0" fontId="17" fillId="0" borderId="1" xfId="0" applyFont="1" applyBorder="1" applyAlignment="1">
      <alignment wrapText="1"/>
    </xf>
    <xf numFmtId="0" fontId="8" fillId="2" borderId="3" xfId="0" applyFont="1" applyFill="1" applyBorder="1" applyAlignment="1" applyProtection="1">
      <alignment/>
      <protection locked="0"/>
    </xf>
    <xf numFmtId="14" fontId="8" fillId="2" borderId="3" xfId="0" applyNumberFormat="1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8" fillId="2" borderId="14" xfId="0" applyFont="1" applyFill="1" applyBorder="1" applyAlignment="1" applyProtection="1">
      <alignment/>
      <protection locked="0"/>
    </xf>
    <xf numFmtId="2" fontId="8" fillId="2" borderId="15" xfId="0" applyNumberFormat="1" applyFont="1" applyFill="1" applyBorder="1" applyAlignment="1" applyProtection="1">
      <alignment/>
      <protection locked="0"/>
    </xf>
    <xf numFmtId="2" fontId="8" fillId="0" borderId="0" xfId="0" applyNumberFormat="1" applyFont="1" applyFill="1" applyBorder="1" applyAlignment="1" applyProtection="1">
      <alignment/>
      <protection/>
    </xf>
    <xf numFmtId="2" fontId="12" fillId="2" borderId="15" xfId="0" applyNumberFormat="1" applyFont="1" applyFill="1" applyBorder="1" applyAlignment="1" applyProtection="1">
      <alignment/>
      <protection locked="0"/>
    </xf>
    <xf numFmtId="2" fontId="12" fillId="2" borderId="1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horizontal="left"/>
    </xf>
    <xf numFmtId="2" fontId="18" fillId="0" borderId="0" xfId="0" applyNumberFormat="1" applyFont="1" applyFill="1" applyBorder="1" applyAlignment="1" applyProtection="1">
      <alignment/>
      <protection/>
    </xf>
    <xf numFmtId="2" fontId="8" fillId="0" borderId="1" xfId="0" applyNumberFormat="1" applyFont="1" applyBorder="1" applyAlignment="1" applyProtection="1">
      <alignment wrapText="1"/>
      <protection locked="0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2" fontId="19" fillId="0" borderId="1" xfId="0" applyNumberFormat="1" applyFont="1" applyBorder="1" applyAlignment="1">
      <alignment/>
    </xf>
    <xf numFmtId="0" fontId="19" fillId="0" borderId="0" xfId="0" applyFont="1" applyBorder="1" applyAlignment="1">
      <alignment/>
    </xf>
    <xf numFmtId="2" fontId="7" fillId="0" borderId="0" xfId="0" applyNumberFormat="1" applyFont="1" applyBorder="1" applyAlignment="1">
      <alignment wrapText="1"/>
    </xf>
    <xf numFmtId="2" fontId="10" fillId="0" borderId="1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0" fontId="4" fillId="0" borderId="0" xfId="0" applyFont="1" applyAlignment="1" applyProtection="1">
      <alignment wrapText="1"/>
      <protection/>
    </xf>
    <xf numFmtId="0" fontId="1" fillId="0" borderId="0" xfId="0" applyFont="1" applyBorder="1" applyAlignment="1">
      <alignment horizontal="left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0">
      <selection activeCell="J9" sqref="J9"/>
    </sheetView>
  </sheetViews>
  <sheetFormatPr defaultColWidth="11.421875" defaultRowHeight="12.75"/>
  <cols>
    <col min="1" max="1" width="33.8515625" style="9" customWidth="1"/>
    <col min="2" max="2" width="16.8515625" style="1" customWidth="1"/>
    <col min="3" max="3" width="33.421875" style="1" customWidth="1"/>
    <col min="4" max="4" width="12.57421875" style="1" customWidth="1"/>
    <col min="5" max="5" width="12.7109375" style="1" customWidth="1"/>
    <col min="6" max="6" width="12.57421875" style="1" customWidth="1"/>
    <col min="7" max="8" width="9.421875" style="1" customWidth="1"/>
    <col min="9" max="9" width="7.00390625" style="1" customWidth="1"/>
    <col min="10" max="10" width="6.421875" style="1" customWidth="1"/>
    <col min="11" max="11" width="7.28125" style="1" customWidth="1"/>
    <col min="12" max="12" width="6.28125" style="1" customWidth="1"/>
    <col min="13" max="14" width="7.57421875" style="1" customWidth="1"/>
    <col min="15" max="15" width="4.421875" style="1" customWidth="1"/>
    <col min="16" max="17" width="5.140625" style="1" customWidth="1"/>
    <col min="18" max="18" width="5.28125" style="1" customWidth="1"/>
    <col min="19" max="19" width="6.421875" style="1" customWidth="1"/>
    <col min="20" max="20" width="7.140625" style="1" customWidth="1"/>
    <col min="21" max="22" width="6.57421875" style="1" customWidth="1"/>
    <col min="23" max="23" width="6.421875" style="1" customWidth="1"/>
    <col min="24" max="24" width="4.140625" style="1" customWidth="1"/>
    <col min="25" max="25" width="4.00390625" style="1" customWidth="1"/>
    <col min="26" max="26" width="5.28125" style="1" customWidth="1"/>
    <col min="27" max="27" width="5.57421875" style="1" customWidth="1"/>
    <col min="28" max="16384" width="11.421875" style="1" customWidth="1"/>
  </cols>
  <sheetData>
    <row r="1" spans="1:3" ht="13.5" thickBot="1">
      <c r="A1" s="34" t="s">
        <v>108</v>
      </c>
      <c r="B1" s="1" t="s">
        <v>154</v>
      </c>
      <c r="C1" s="15" t="s">
        <v>109</v>
      </c>
    </row>
    <row r="2" spans="1:6" ht="13.5" thickBot="1">
      <c r="A2" s="12" t="s">
        <v>137</v>
      </c>
      <c r="B2" s="7" t="s">
        <v>58</v>
      </c>
      <c r="C2" s="62" t="s">
        <v>139</v>
      </c>
      <c r="E2" s="39"/>
      <c r="F2" s="40"/>
    </row>
    <row r="3" spans="2:6" ht="13.5" thickBot="1">
      <c r="B3" s="21" t="s">
        <v>57</v>
      </c>
      <c r="C3" s="63">
        <v>40064</v>
      </c>
      <c r="E3" s="41" t="s">
        <v>94</v>
      </c>
      <c r="F3" s="42" t="s">
        <v>95</v>
      </c>
    </row>
    <row r="4" spans="1:6" ht="13.5" thickBot="1">
      <c r="A4" s="1" t="s">
        <v>76</v>
      </c>
      <c r="E4" s="41" t="s">
        <v>96</v>
      </c>
      <c r="F4" s="42" t="s">
        <v>97</v>
      </c>
    </row>
    <row r="5" spans="1:6" ht="19.5" customHeight="1" thickBot="1">
      <c r="A5" s="12" t="s">
        <v>75</v>
      </c>
      <c r="B5" s="65" t="s">
        <v>141</v>
      </c>
      <c r="C5" s="65"/>
      <c r="E5" s="43" t="s">
        <v>65</v>
      </c>
      <c r="F5" s="44"/>
    </row>
    <row r="6" spans="1:6" ht="68.25" customHeight="1" thickBot="1">
      <c r="A6" s="10" t="s">
        <v>0</v>
      </c>
      <c r="B6" s="83" t="s">
        <v>151</v>
      </c>
      <c r="C6" s="16" t="s">
        <v>62</v>
      </c>
      <c r="D6" s="83" t="s">
        <v>150</v>
      </c>
      <c r="E6" s="61" t="s">
        <v>106</v>
      </c>
      <c r="F6" s="61" t="s">
        <v>107</v>
      </c>
    </row>
    <row r="7" spans="1:6" ht="13.5" thickBot="1">
      <c r="A7" s="9" t="s">
        <v>74</v>
      </c>
      <c r="B7" s="22" t="s">
        <v>153</v>
      </c>
      <c r="C7" s="64" t="s">
        <v>152</v>
      </c>
      <c r="D7" s="64"/>
      <c r="E7" s="4">
        <v>1</v>
      </c>
      <c r="F7" s="4">
        <v>2</v>
      </c>
    </row>
    <row r="8" spans="1:6" ht="13.5" thickTop="1">
      <c r="A8" s="9" t="s">
        <v>23</v>
      </c>
      <c r="C8" s="23"/>
      <c r="D8" s="24" t="s">
        <v>4</v>
      </c>
      <c r="E8" s="45">
        <v>20</v>
      </c>
      <c r="F8" s="46">
        <v>20</v>
      </c>
    </row>
    <row r="9" spans="1:6" ht="12.75">
      <c r="A9" s="9" t="s">
        <v>24</v>
      </c>
      <c r="C9" s="23"/>
      <c r="D9" s="24" t="s">
        <v>5</v>
      </c>
      <c r="E9" s="47">
        <v>0.15</v>
      </c>
      <c r="F9" s="48">
        <v>0.15</v>
      </c>
    </row>
    <row r="10" spans="1:6" ht="12.75">
      <c r="A10" s="9" t="s">
        <v>7</v>
      </c>
      <c r="C10" s="23"/>
      <c r="D10" s="24" t="s">
        <v>6</v>
      </c>
      <c r="E10" s="47">
        <v>1550</v>
      </c>
      <c r="F10" s="48">
        <v>1550</v>
      </c>
    </row>
    <row r="11" spans="1:7" ht="15" customHeight="1">
      <c r="A11" s="9" t="s">
        <v>25</v>
      </c>
      <c r="C11" s="23"/>
      <c r="D11" s="24" t="s">
        <v>8</v>
      </c>
      <c r="E11" s="47">
        <v>0</v>
      </c>
      <c r="F11" s="48">
        <v>0</v>
      </c>
      <c r="G11" s="3"/>
    </row>
    <row r="12" spans="1:7" ht="12.75">
      <c r="A12" s="13" t="s">
        <v>11</v>
      </c>
      <c r="C12" s="23"/>
      <c r="D12" s="24" t="s">
        <v>9</v>
      </c>
      <c r="E12" s="47">
        <v>1</v>
      </c>
      <c r="F12" s="48">
        <v>1</v>
      </c>
      <c r="G12" s="3"/>
    </row>
    <row r="13" spans="1:7" ht="13.5" thickBot="1">
      <c r="A13" s="13" t="s">
        <v>12</v>
      </c>
      <c r="C13" s="23"/>
      <c r="D13" s="24" t="s">
        <v>10</v>
      </c>
      <c r="E13" s="49">
        <v>1</v>
      </c>
      <c r="F13" s="48">
        <v>1</v>
      </c>
      <c r="G13" s="3"/>
    </row>
    <row r="14" spans="1:7" ht="27" thickBot="1">
      <c r="A14" s="9" t="s">
        <v>110</v>
      </c>
      <c r="B14" s="1" t="s">
        <v>72</v>
      </c>
      <c r="C14" s="23"/>
      <c r="D14" s="24" t="s">
        <v>68</v>
      </c>
      <c r="E14" s="67">
        <v>0</v>
      </c>
      <c r="F14" s="68">
        <v>1</v>
      </c>
      <c r="G14" s="3"/>
    </row>
    <row r="15" spans="1:7" ht="27" thickBot="1">
      <c r="A15" s="9" t="s">
        <v>63</v>
      </c>
      <c r="B15" s="1" t="s">
        <v>73</v>
      </c>
      <c r="C15" s="23"/>
      <c r="D15" s="24" t="s">
        <v>13</v>
      </c>
      <c r="E15" s="69">
        <v>42</v>
      </c>
      <c r="F15" s="67">
        <v>0</v>
      </c>
      <c r="G15" s="3"/>
    </row>
    <row r="16" spans="1:7" ht="12.75">
      <c r="A16" s="9" t="s">
        <v>64</v>
      </c>
      <c r="C16" s="23"/>
      <c r="D16" s="24" t="s">
        <v>36</v>
      </c>
      <c r="E16" s="48">
        <v>400</v>
      </c>
      <c r="F16" s="46">
        <v>400</v>
      </c>
      <c r="G16" s="3"/>
    </row>
    <row r="17" spans="1:7" ht="16.5" customHeight="1" thickBot="1">
      <c r="A17" s="70" t="s">
        <v>128</v>
      </c>
      <c r="C17" s="23"/>
      <c r="D17" s="24" t="s">
        <v>87</v>
      </c>
      <c r="E17" s="66">
        <v>25</v>
      </c>
      <c r="F17" s="66">
        <v>25</v>
      </c>
      <c r="G17" s="3"/>
    </row>
    <row r="18" spans="1:7" s="74" customFormat="1" ht="15.75" customHeight="1" thickBot="1">
      <c r="A18" s="73" t="s">
        <v>135</v>
      </c>
      <c r="C18" s="75"/>
      <c r="D18" s="76" t="s">
        <v>67</v>
      </c>
      <c r="E18" s="77">
        <f>E48</f>
        <v>1.8922752226074535</v>
      </c>
      <c r="F18" s="77">
        <f>F48</f>
        <v>1</v>
      </c>
      <c r="G18" s="78"/>
    </row>
    <row r="19" spans="1:7" ht="13.5" thickBot="1">
      <c r="A19" s="13" t="s">
        <v>129</v>
      </c>
      <c r="C19" s="23"/>
      <c r="D19" s="24" t="s">
        <v>130</v>
      </c>
      <c r="E19" s="50">
        <v>12</v>
      </c>
      <c r="F19" s="51">
        <v>12</v>
      </c>
      <c r="G19" s="3"/>
    </row>
    <row r="20" spans="1:7" ht="18" customHeight="1" thickBot="1">
      <c r="A20" s="13" t="s">
        <v>131</v>
      </c>
      <c r="C20" s="23"/>
      <c r="D20" s="24" t="s">
        <v>134</v>
      </c>
      <c r="E20" s="51">
        <v>2</v>
      </c>
      <c r="F20" s="51">
        <v>2</v>
      </c>
      <c r="G20" s="3"/>
    </row>
    <row r="21" spans="1:7" ht="18" customHeight="1">
      <c r="A21" s="13" t="s">
        <v>132</v>
      </c>
      <c r="B21" s="14" t="s">
        <v>138</v>
      </c>
      <c r="C21" s="23"/>
      <c r="D21" s="24" t="s">
        <v>133</v>
      </c>
      <c r="E21" s="71">
        <f>(E17-(E48+E19))</f>
        <v>11.107724777392546</v>
      </c>
      <c r="F21" s="71">
        <f>(F17-(F14+F19))</f>
        <v>12</v>
      </c>
      <c r="G21" s="3"/>
    </row>
    <row r="22" spans="1:7" ht="20.25" customHeight="1">
      <c r="A22" s="9" t="s">
        <v>88</v>
      </c>
      <c r="C22" s="23"/>
      <c r="D22" s="24" t="s">
        <v>90</v>
      </c>
      <c r="E22" s="72" t="str">
        <f>IF(SUM(E48+E19+E21)&lt;60/E20,"Zeiten ok","Taktzahl zu groß ange-geben")</f>
        <v>Zeiten ok</v>
      </c>
      <c r="F22" s="72" t="str">
        <f>IF(SUM(F48+F19+F21)&lt;60/F20,"Zeiten ok","Taktzahl zu groß ange-geben")</f>
        <v>Zeiten ok</v>
      </c>
      <c r="G22" s="3"/>
    </row>
    <row r="23" spans="1:7" ht="13.5" thickBot="1">
      <c r="A23" s="9" t="s">
        <v>66</v>
      </c>
      <c r="B23" s="1" t="s">
        <v>140</v>
      </c>
      <c r="C23" s="23"/>
      <c r="D23" s="24" t="s">
        <v>69</v>
      </c>
      <c r="E23" s="5">
        <f>100*(E18+E18*0.1+E19)/((60/E20))</f>
        <v>46.938342482893994</v>
      </c>
      <c r="F23" s="5">
        <f>100*(F18+F18*0.1+F19)/((60/F20))</f>
        <v>43.666666666666664</v>
      </c>
      <c r="G23" s="3"/>
    </row>
    <row r="24" spans="1:7" ht="26.25" thickBot="1">
      <c r="A24" s="12" t="s">
        <v>149</v>
      </c>
      <c r="B24" s="1" t="s">
        <v>77</v>
      </c>
      <c r="C24" s="23"/>
      <c r="D24" s="24" t="s">
        <v>70</v>
      </c>
      <c r="E24" s="50">
        <v>60</v>
      </c>
      <c r="F24" s="52">
        <v>60</v>
      </c>
      <c r="G24" s="3"/>
    </row>
    <row r="25" spans="1:6" ht="13.5" thickBot="1">
      <c r="A25" s="11" t="s">
        <v>2</v>
      </c>
      <c r="B25" s="6"/>
      <c r="C25" s="23"/>
      <c r="D25" s="23"/>
      <c r="E25" s="5"/>
      <c r="F25" s="5"/>
    </row>
    <row r="26" spans="1:6" ht="13.5" thickBot="1">
      <c r="A26" s="9" t="s">
        <v>26</v>
      </c>
      <c r="B26" s="1" t="s">
        <v>48</v>
      </c>
      <c r="C26" s="23"/>
      <c r="D26" s="24" t="s">
        <v>27</v>
      </c>
      <c r="E26" s="50">
        <v>0.879</v>
      </c>
      <c r="F26" s="52">
        <v>0.88</v>
      </c>
    </row>
    <row r="27" spans="1:6" ht="13.5" thickBot="1">
      <c r="A27" s="9" t="s">
        <v>51</v>
      </c>
      <c r="B27" s="1" t="s">
        <v>49</v>
      </c>
      <c r="C27" s="23"/>
      <c r="D27" s="24"/>
      <c r="E27" s="17"/>
      <c r="F27" s="17"/>
    </row>
    <row r="28" spans="1:6" ht="13.5" thickBot="1">
      <c r="A28" s="9" t="s">
        <v>54</v>
      </c>
      <c r="B28" s="1" t="s">
        <v>45</v>
      </c>
      <c r="C28" s="23"/>
      <c r="D28" s="24" t="s">
        <v>14</v>
      </c>
      <c r="E28" s="50">
        <v>10.8</v>
      </c>
      <c r="F28" s="50">
        <v>10.8</v>
      </c>
    </row>
    <row r="29" spans="1:6" ht="13.5" thickBot="1">
      <c r="A29" s="9" t="s">
        <v>53</v>
      </c>
      <c r="C29" s="23"/>
      <c r="D29" s="24"/>
      <c r="E29" s="17"/>
      <c r="F29" s="17"/>
    </row>
    <row r="30" spans="1:6" ht="13.5" thickBot="1">
      <c r="A30" s="9" t="s">
        <v>55</v>
      </c>
      <c r="B30" s="1" t="s">
        <v>46</v>
      </c>
      <c r="C30" s="23"/>
      <c r="D30" s="24" t="s">
        <v>15</v>
      </c>
      <c r="E30" s="50">
        <v>0</v>
      </c>
      <c r="F30" s="50">
        <v>0</v>
      </c>
    </row>
    <row r="31" spans="1:6" ht="13.5" thickBot="1">
      <c r="A31" s="9" t="s">
        <v>56</v>
      </c>
      <c r="C31" s="23"/>
      <c r="D31" s="24"/>
      <c r="E31" s="17"/>
      <c r="F31" s="17"/>
    </row>
    <row r="32" spans="1:6" ht="13.5" thickBot="1">
      <c r="A32" s="9" t="s">
        <v>18</v>
      </c>
      <c r="B32" s="1" t="s">
        <v>47</v>
      </c>
      <c r="C32" s="23"/>
      <c r="D32" s="24" t="s">
        <v>16</v>
      </c>
      <c r="E32" s="50">
        <v>0.052</v>
      </c>
      <c r="F32" s="50">
        <v>0.052</v>
      </c>
    </row>
    <row r="33" spans="1:6" ht="12.75">
      <c r="A33" s="9" t="s">
        <v>19</v>
      </c>
      <c r="B33" s="1" t="s">
        <v>59</v>
      </c>
      <c r="C33" s="23"/>
      <c r="D33" s="24" t="s">
        <v>17</v>
      </c>
      <c r="E33" s="5">
        <v>1.1</v>
      </c>
      <c r="F33" s="5">
        <v>1.1</v>
      </c>
    </row>
    <row r="34" spans="1:6" ht="12.75">
      <c r="A34" s="10" t="s">
        <v>1</v>
      </c>
      <c r="B34" s="2"/>
      <c r="C34" s="23"/>
      <c r="D34" s="23"/>
      <c r="E34" s="5"/>
      <c r="F34" s="5"/>
    </row>
    <row r="35" spans="1:6" ht="12.75">
      <c r="A35" s="9" t="s">
        <v>21</v>
      </c>
      <c r="B35" s="1" t="s">
        <v>80</v>
      </c>
      <c r="C35" s="23"/>
      <c r="D35" s="24" t="s">
        <v>20</v>
      </c>
      <c r="E35" s="5">
        <f>(2*(E8+E9)+PI()*E11)*E10*E12*E13</f>
        <v>62464.99999999999</v>
      </c>
      <c r="F35" s="5">
        <f>(2*(F8+F9)+PI()*F11)*F10*F12*F13</f>
        <v>62464.99999999999</v>
      </c>
    </row>
    <row r="36" spans="2:6" ht="12.75">
      <c r="B36" s="1" t="s">
        <v>78</v>
      </c>
      <c r="C36" s="23"/>
      <c r="D36" s="23"/>
      <c r="E36" s="5"/>
      <c r="F36" s="5"/>
    </row>
    <row r="37" spans="1:6" ht="12.75">
      <c r="A37" s="9" t="s">
        <v>38</v>
      </c>
      <c r="B37" s="1" t="s">
        <v>79</v>
      </c>
      <c r="C37" s="23"/>
      <c r="D37" s="24" t="s">
        <v>22</v>
      </c>
      <c r="E37" s="5">
        <f>(E8*E9+E11^2*PI()/4)*E10*E12*E13</f>
        <v>4650</v>
      </c>
      <c r="F37" s="5">
        <f>(F8*F9+F11^2*PI()/4)*F10*F12*F13</f>
        <v>4650</v>
      </c>
    </row>
    <row r="38" spans="2:6" ht="12.75">
      <c r="B38" s="1" t="s">
        <v>42</v>
      </c>
      <c r="C38" s="23"/>
      <c r="D38" s="23"/>
      <c r="E38" s="5"/>
      <c r="F38" s="5"/>
    </row>
    <row r="39" spans="1:6" ht="12.75">
      <c r="A39" s="9" t="s">
        <v>52</v>
      </c>
      <c r="B39" s="1" t="s">
        <v>43</v>
      </c>
      <c r="C39" s="23"/>
      <c r="D39" s="24" t="s">
        <v>28</v>
      </c>
      <c r="E39" s="5">
        <f>E26*E10/(1000*(E8*E9+E11^2*PI()/4))*1000</f>
        <v>454.15</v>
      </c>
      <c r="F39" s="5">
        <f>F26*F10/(1000*(F8*F9+F11^2*PI()/4))*1000</f>
        <v>454.6666666666667</v>
      </c>
    </row>
    <row r="40" spans="1:6" ht="12.75">
      <c r="A40" s="9" t="s">
        <v>50</v>
      </c>
      <c r="B40" s="1" t="s">
        <v>44</v>
      </c>
      <c r="C40" s="23"/>
      <c r="D40" s="23"/>
      <c r="E40" s="5"/>
      <c r="F40" s="5"/>
    </row>
    <row r="41" spans="1:6" ht="12.75">
      <c r="A41" s="9" t="s">
        <v>29</v>
      </c>
      <c r="B41" s="1" t="s">
        <v>41</v>
      </c>
      <c r="C41" s="23"/>
      <c r="D41" s="24" t="s">
        <v>3</v>
      </c>
      <c r="E41" s="5">
        <f>E39*E12/E13</f>
        <v>454.15</v>
      </c>
      <c r="F41" s="5">
        <f>F39*F12/F13</f>
        <v>454.6666666666667</v>
      </c>
    </row>
    <row r="42" spans="1:6" ht="12.75">
      <c r="A42" s="9" t="s">
        <v>111</v>
      </c>
      <c r="B42" s="1" t="s">
        <v>112</v>
      </c>
      <c r="C42" s="23"/>
      <c r="D42" s="24" t="s">
        <v>123</v>
      </c>
      <c r="E42" s="5">
        <f>E41*(1+180*E28/10000+180^2*E30/1000000)</f>
        <v>542.4367599999999</v>
      </c>
      <c r="F42" s="5">
        <f>F41*(1+180*F28/10000+180^2*F30/1000000)</f>
        <v>543.0538666666666</v>
      </c>
    </row>
    <row r="43" spans="1:6" ht="12.75">
      <c r="A43" s="9" t="s">
        <v>114</v>
      </c>
      <c r="B43" s="1" t="s">
        <v>113</v>
      </c>
      <c r="C43" s="23"/>
      <c r="D43" s="24" t="s">
        <v>124</v>
      </c>
      <c r="E43" s="5">
        <f>(0.009*(2*E8+E9)+0.0006*PI()*E11)*E10*E12*E13</f>
        <v>560.0925</v>
      </c>
      <c r="F43" s="5">
        <f>(0.009*(2*F8+F9)+0.0006*PI()*F11)*F10*F12*F13</f>
        <v>560.0925</v>
      </c>
    </row>
    <row r="44" spans="2:6" ht="12.75">
      <c r="B44" s="1" t="s">
        <v>115</v>
      </c>
      <c r="C44" s="23"/>
      <c r="D44" s="23"/>
      <c r="E44" s="5"/>
      <c r="F44" s="5"/>
    </row>
    <row r="45" spans="1:6" ht="12.75">
      <c r="A45" s="1" t="s">
        <v>93</v>
      </c>
      <c r="B45" s="1" t="s">
        <v>92</v>
      </c>
      <c r="C45" s="23"/>
      <c r="D45" s="24" t="s">
        <v>30</v>
      </c>
      <c r="E45" s="5">
        <f>IF(E14=0,(E15/E33)^2/(E41/1000),"Taufh muss =0 sein")</f>
        <v>3210.0654842440194</v>
      </c>
      <c r="F45" s="5">
        <f>IF(F14=0,"taufh.ist =0",F37*8*0.13*300/(F48*0.00024*1000000))</f>
        <v>6045</v>
      </c>
    </row>
    <row r="46" spans="1:6" ht="15.75">
      <c r="A46" s="12" t="s">
        <v>103</v>
      </c>
      <c r="B46" s="1" t="s">
        <v>143</v>
      </c>
      <c r="C46" s="23"/>
      <c r="D46" s="24" t="s">
        <v>103</v>
      </c>
      <c r="E46" s="80">
        <f>(E45+E47)/2</f>
        <v>2948.8310861625405</v>
      </c>
      <c r="F46" s="80">
        <f>(F45+F47)/2</f>
        <v>5553.059276624246</v>
      </c>
    </row>
    <row r="47" spans="1:6" ht="13.5" thickBot="1">
      <c r="A47" s="9" t="s">
        <v>81</v>
      </c>
      <c r="C47" s="23"/>
      <c r="D47" s="24" t="s">
        <v>82</v>
      </c>
      <c r="E47" s="5">
        <f>IF(E14=0,(E15/E33)^2/(E42/1000),"Taufh muss =0 sein")</f>
        <v>2687.596688081061</v>
      </c>
      <c r="F47" s="5">
        <f>IF(F14=0,"taufh.ist =0",((F51/F33)*(F51/F33))/F42*1000)</f>
        <v>5061.118553248492</v>
      </c>
    </row>
    <row r="48" spans="1:6" s="37" customFormat="1" ht="21.75" customHeight="1" thickBot="1">
      <c r="A48" s="36" t="s">
        <v>116</v>
      </c>
      <c r="B48" s="1" t="s">
        <v>101</v>
      </c>
      <c r="C48" s="38"/>
      <c r="D48" s="27" t="s">
        <v>61</v>
      </c>
      <c r="E48" s="53">
        <f>IF(E14=0,E37*8*0.12*300/(E46*0.00024*1000000),"Aufh.&gt;0")</f>
        <v>1.8922752226074535</v>
      </c>
      <c r="F48" s="54">
        <f>IF(F14=0,F37*8*0.12*300/(F46*0.00024*1000000),F14)</f>
        <v>1</v>
      </c>
    </row>
    <row r="49" spans="1:6" ht="23.25" customHeight="1">
      <c r="A49" s="12" t="s">
        <v>86</v>
      </c>
      <c r="B49" s="14"/>
      <c r="C49" s="26" t="s">
        <v>71</v>
      </c>
      <c r="D49" s="25"/>
      <c r="E49" s="55" t="str">
        <f>IF(E48*1.5&gt;E17,"U2 für die Zykl.Zt.zu klein","ok")</f>
        <v>ok</v>
      </c>
      <c r="F49" s="55" t="str">
        <f>IF(F48*1.5&gt;F17,"TU2 für die Zukl. Zt.zu klein","ok")</f>
        <v>ok</v>
      </c>
    </row>
    <row r="50" spans="3:6" ht="12.75" customHeight="1" thickBot="1">
      <c r="C50" s="23"/>
      <c r="D50" s="24"/>
      <c r="E50" s="5"/>
      <c r="F50" s="5"/>
    </row>
    <row r="51" spans="1:6" ht="16.5" thickBot="1">
      <c r="A51" s="12" t="s">
        <v>32</v>
      </c>
      <c r="B51" s="1" t="s">
        <v>104</v>
      </c>
      <c r="C51" s="23"/>
      <c r="D51" s="27" t="s">
        <v>13</v>
      </c>
      <c r="E51" s="57">
        <f>IF(E14=0,E15,(SQRT(E46*E41/1000)*E33))</f>
        <v>42</v>
      </c>
      <c r="F51" s="57">
        <f>IF(F14=0,F15,(SQRT(F45*F41/1000)*F33))</f>
        <v>57.668332731231274</v>
      </c>
    </row>
    <row r="52" spans="3:6" ht="13.5" thickBot="1">
      <c r="C52" s="23"/>
      <c r="D52" s="24"/>
      <c r="E52" s="5"/>
      <c r="F52" s="5"/>
    </row>
    <row r="53" spans="1:6" ht="16.5" thickBot="1">
      <c r="A53" s="12" t="s">
        <v>33</v>
      </c>
      <c r="B53" s="1" t="s">
        <v>40</v>
      </c>
      <c r="C53" s="23"/>
      <c r="D53" s="27" t="s">
        <v>34</v>
      </c>
      <c r="E53" s="53">
        <f>SQRT(E45/(E41/1000))</f>
        <v>84.07314363496242</v>
      </c>
      <c r="F53" s="54">
        <f>SQRT(F45/(F41/1000))</f>
        <v>115.30591721787111</v>
      </c>
    </row>
    <row r="54" spans="1:6" ht="12.75">
      <c r="A54" s="9" t="s">
        <v>117</v>
      </c>
      <c r="B54" s="1" t="s">
        <v>118</v>
      </c>
      <c r="C54" s="23"/>
      <c r="D54" s="24" t="s">
        <v>125</v>
      </c>
      <c r="E54" s="5">
        <f>E55*E42/1000</f>
        <v>17.430282872067792</v>
      </c>
      <c r="F54" s="5">
        <f>F55*F42/1000</f>
        <v>17.44019489042482</v>
      </c>
    </row>
    <row r="55" spans="1:6" ht="12.75">
      <c r="A55" s="9" t="s">
        <v>119</v>
      </c>
      <c r="B55" s="1" t="s">
        <v>120</v>
      </c>
      <c r="C55" s="23"/>
      <c r="D55" s="24" t="s">
        <v>126</v>
      </c>
      <c r="E55" s="5">
        <f>SQRT(E43/(E42/1000))</f>
        <v>32.13329950585907</v>
      </c>
      <c r="F55" s="5">
        <f>SQRT(F43/(F42/1000))</f>
        <v>32.11503675956668</v>
      </c>
    </row>
    <row r="56" spans="1:6" ht="18" customHeight="1">
      <c r="A56" s="12" t="s">
        <v>35</v>
      </c>
      <c r="C56" s="23"/>
      <c r="D56" s="25" t="s">
        <v>36</v>
      </c>
      <c r="E56" s="8">
        <f>E16</f>
        <v>400</v>
      </c>
      <c r="F56" s="8">
        <f>F16</f>
        <v>400</v>
      </c>
    </row>
    <row r="57" spans="1:6" ht="11.25" customHeight="1">
      <c r="A57" s="12" t="s">
        <v>142</v>
      </c>
      <c r="B57" s="1" t="s">
        <v>39</v>
      </c>
      <c r="C57" s="28"/>
      <c r="D57" s="29" t="s">
        <v>37</v>
      </c>
      <c r="E57" s="8">
        <f>E53*E51/E56</f>
        <v>8.827680081671055</v>
      </c>
      <c r="F57" s="8">
        <f>F53*F51/F56</f>
        <v>16.62375</v>
      </c>
    </row>
    <row r="58" spans="1:6" ht="26.25" customHeight="1" thickBot="1">
      <c r="A58" s="12" t="s">
        <v>136</v>
      </c>
      <c r="C58" s="28"/>
      <c r="D58" s="29"/>
      <c r="E58" s="79" t="str">
        <f>IF(AND(E57&gt;20,E23&gt;20),"Booster","Kein Booster nötig")</f>
        <v>Kein Booster nötig</v>
      </c>
      <c r="F58" s="79" t="str">
        <f>IF(AND(F57&gt;20,F23&gt;20),"Booster","Kein Booster nötig")</f>
        <v>Kein Booster nötig</v>
      </c>
    </row>
    <row r="59" spans="1:6" ht="28.5" customHeight="1" thickBot="1">
      <c r="A59" s="12" t="s">
        <v>85</v>
      </c>
      <c r="C59" s="28"/>
      <c r="D59" s="29" t="s">
        <v>84</v>
      </c>
      <c r="E59" s="56">
        <f>E45</f>
        <v>3210.0654842440194</v>
      </c>
      <c r="F59" s="56">
        <f>F45</f>
        <v>6045</v>
      </c>
    </row>
    <row r="60" spans="1:6" ht="26.25" customHeight="1" thickBot="1">
      <c r="A60" s="9" t="s">
        <v>127</v>
      </c>
      <c r="C60" s="30" t="s">
        <v>121</v>
      </c>
      <c r="D60" s="35" t="s">
        <v>83</v>
      </c>
      <c r="E60" s="58">
        <f>E59*E48/E17+E47*E19/E17</f>
        <v>1533.0195054302035</v>
      </c>
      <c r="F60" s="58">
        <f>F59*F48/F17+F47*F19/F17</f>
        <v>2671.1369055592763</v>
      </c>
    </row>
    <row r="61" spans="1:6" ht="27.75" customHeight="1" thickBot="1">
      <c r="A61" s="12" t="s">
        <v>144</v>
      </c>
      <c r="B61" s="1" t="s">
        <v>145</v>
      </c>
      <c r="C61" s="30"/>
      <c r="D61" s="29" t="s">
        <v>89</v>
      </c>
      <c r="E61" s="56">
        <f>E46/(IF(E24=100,1,1)*IF(E24=60,1.68,1)*IF(E24=40,2.2,1)*IF(E24=20,5,1)*IF(E24=10,10,1))</f>
        <v>1755.2565989062741</v>
      </c>
      <c r="F61" s="56">
        <f>F46/(IF(F24=100,1,1)*IF(F24=60,1.68,1)*IF(F24=40,2.2,1)*IF(F24=20,5,1)*IF(F24=10,10,1))</f>
        <v>3305.3924265620512</v>
      </c>
    </row>
    <row r="62" spans="1:6" ht="41.25" customHeight="1" thickBot="1">
      <c r="A62" s="12" t="s">
        <v>146</v>
      </c>
      <c r="B62" s="81" t="s">
        <v>147</v>
      </c>
      <c r="C62" s="82" t="s">
        <v>148</v>
      </c>
      <c r="D62" s="29" t="s">
        <v>98</v>
      </c>
      <c r="E62" s="59">
        <v>1800</v>
      </c>
      <c r="F62" s="59">
        <v>3500</v>
      </c>
    </row>
    <row r="63" spans="1:6" ht="12.75">
      <c r="A63" s="18" t="s">
        <v>99</v>
      </c>
      <c r="B63" s="19" t="s">
        <v>122</v>
      </c>
      <c r="C63" s="31"/>
      <c r="D63" s="32" t="s">
        <v>60</v>
      </c>
      <c r="E63" s="20">
        <f>E45/(4*E43)</f>
        <v>1.4328282757955246</v>
      </c>
      <c r="F63" s="20">
        <f>F45/(4*F43)</f>
        <v>2.6982150269821505</v>
      </c>
    </row>
    <row r="64" spans="1:6" ht="18.75" customHeight="1">
      <c r="A64" s="18" t="s">
        <v>100</v>
      </c>
      <c r="B64" s="19" t="s">
        <v>91</v>
      </c>
      <c r="C64" s="31"/>
      <c r="D64" s="33" t="s">
        <v>31</v>
      </c>
      <c r="E64" s="60">
        <f>IF(E48&lt;0.1,"Usek. Zu groß",E48)</f>
        <v>1.8922752226074535</v>
      </c>
      <c r="F64" s="60">
        <f>IF(F48&lt;0.095,"Usek. Zu groß",F48)</f>
        <v>1</v>
      </c>
    </row>
    <row r="65" spans="1:4" ht="39" customHeight="1">
      <c r="A65" s="9" t="s">
        <v>102</v>
      </c>
      <c r="B65" s="1" t="s">
        <v>105</v>
      </c>
      <c r="C65" s="23"/>
      <c r="D65" s="23"/>
    </row>
    <row r="66" ht="12.75">
      <c r="A66" s="13"/>
    </row>
    <row r="67" ht="12.75">
      <c r="A67" s="13"/>
    </row>
  </sheetData>
  <sheetProtection password="C748" sheet="1" objects="1" scenarios="1"/>
  <printOptions gridLines="1" headings="1"/>
  <pageMargins left="0.7480314960629921" right="0.15748031496062992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FSM</dc:creator>
  <cp:keywords/>
  <dc:description/>
  <cp:lastModifiedBy>Athlon64</cp:lastModifiedBy>
  <cp:lastPrinted>2009-09-11T07:40:37Z</cp:lastPrinted>
  <dcterms:created xsi:type="dcterms:W3CDTF">1999-07-01T05:38:03Z</dcterms:created>
  <dcterms:modified xsi:type="dcterms:W3CDTF">2009-09-11T07:43:17Z</dcterms:modified>
  <cp:category/>
  <cp:version/>
  <cp:contentType/>
  <cp:contentStatus/>
</cp:coreProperties>
</file>